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emm\Desktop\"/>
    </mc:Choice>
  </mc:AlternateContent>
  <xr:revisionPtr revIDLastSave="0" documentId="13_ncr:1_{CCE212D6-928A-43EC-A455-454EE1754CC9}" xr6:coauthVersionLast="47" xr6:coauthVersionMax="47" xr10:uidLastSave="{00000000-0000-0000-0000-000000000000}"/>
  <bookViews>
    <workbookView xWindow="-108" yWindow="-108" windowWidth="30936" windowHeight="16776" xr2:uid="{BDF0EC99-5954-4035-A168-5FC9F2622C4F}"/>
  </bookViews>
  <sheets>
    <sheet name="Dashboard" sheetId="4" r:id="rId1"/>
    <sheet name="Einnahmen" sheetId="2" r:id="rId2"/>
    <sheet name="Ausgaben" sheetId="3" r:id="rId3"/>
    <sheet name="Monatsübersicht" sheetId="5" r:id="rId4"/>
    <sheet name="Jahresübersicht" sheetId="6" r:id="rId5"/>
    <sheet name="Kategorien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 a="1"/>
  <c r="B16" i="5" s="1"/>
  <c r="B3" i="5"/>
  <c r="C6" i="6"/>
  <c r="D6" i="6"/>
  <c r="E6" i="6"/>
  <c r="F6" i="6"/>
  <c r="G6" i="6"/>
  <c r="H6" i="6"/>
  <c r="I6" i="6"/>
  <c r="J6" i="6"/>
  <c r="K6" i="6"/>
  <c r="L6" i="6"/>
  <c r="D5" i="6"/>
  <c r="E5" i="6"/>
  <c r="F5" i="6"/>
  <c r="G5" i="6"/>
  <c r="H5" i="6"/>
  <c r="I5" i="6"/>
  <c r="J5" i="6"/>
  <c r="K5" i="6"/>
  <c r="L5" i="6"/>
  <c r="B3" i="6"/>
  <c r="B2" i="6"/>
  <c r="B4" i="6" s="1"/>
  <c r="B6" i="6" s="1"/>
  <c r="I13" i="3"/>
  <c r="I12" i="3"/>
  <c r="I11" i="3"/>
  <c r="I10" i="3"/>
  <c r="I9" i="3"/>
  <c r="I8" i="3"/>
  <c r="I7" i="3"/>
  <c r="I6" i="3"/>
  <c r="I5" i="3"/>
  <c r="I4" i="3"/>
  <c r="I3" i="3"/>
  <c r="I2" i="3"/>
  <c r="I14" i="3" s="1"/>
  <c r="A6" i="4"/>
  <c r="M10" i="4"/>
  <c r="L10" i="4"/>
  <c r="K10" i="4"/>
  <c r="K12" i="4" s="1"/>
  <c r="J10" i="4"/>
  <c r="I10" i="4"/>
  <c r="H10" i="4"/>
  <c r="G10" i="4"/>
  <c r="F10" i="4"/>
  <c r="F12" i="4" s="1"/>
  <c r="E10" i="4"/>
  <c r="D10" i="4"/>
  <c r="C10" i="4"/>
  <c r="C12" i="4" s="1"/>
  <c r="E12" i="4"/>
  <c r="J12" i="4"/>
  <c r="L12" i="4"/>
  <c r="D12" i="4"/>
  <c r="B10" i="4"/>
  <c r="B12" i="4" s="1"/>
  <c r="B6" i="4"/>
  <c r="B4" i="5"/>
  <c r="B27" i="4"/>
  <c r="B26" i="4"/>
  <c r="B25" i="4"/>
  <c r="B24" i="4"/>
  <c r="B23" i="4"/>
  <c r="B22" i="4"/>
  <c r="B21" i="4"/>
  <c r="B20" i="4"/>
  <c r="B19" i="4"/>
  <c r="B18" i="4"/>
  <c r="B17" i="4"/>
  <c r="M11" i="4"/>
  <c r="L11" i="4"/>
  <c r="K11" i="4"/>
  <c r="J11" i="4"/>
  <c r="I11" i="4"/>
  <c r="H11" i="4"/>
  <c r="G11" i="4"/>
  <c r="F11" i="4"/>
  <c r="E11" i="4"/>
  <c r="D11" i="4"/>
  <c r="C11" i="4"/>
  <c r="B11" i="4"/>
  <c r="C88" i="3"/>
  <c r="C87" i="3"/>
  <c r="C86" i="3"/>
  <c r="C85" i="3"/>
  <c r="C84" i="3"/>
  <c r="C83" i="3"/>
  <c r="C82" i="3"/>
  <c r="C81" i="3"/>
  <c r="C80" i="3"/>
  <c r="C79" i="3"/>
  <c r="C78" i="3"/>
  <c r="C77" i="3"/>
  <c r="C75" i="3"/>
  <c r="C74" i="3"/>
  <c r="C73" i="3"/>
  <c r="C72" i="3"/>
  <c r="C71" i="3"/>
  <c r="C70" i="3"/>
  <c r="C69" i="3"/>
  <c r="C68" i="3"/>
  <c r="C67" i="3"/>
  <c r="C66" i="3"/>
  <c r="C65" i="3"/>
  <c r="C64" i="3"/>
  <c r="C61" i="3"/>
  <c r="C60" i="3"/>
  <c r="C59" i="3"/>
  <c r="C58" i="3"/>
  <c r="C57" i="3"/>
  <c r="C56" i="3"/>
  <c r="C55" i="3"/>
  <c r="C54" i="3"/>
  <c r="C53" i="3"/>
  <c r="C52" i="3"/>
  <c r="C51" i="3"/>
  <c r="C50" i="3"/>
  <c r="E2" i="3"/>
  <c r="D2" i="3"/>
  <c r="I12" i="4"/>
  <c r="H12" i="4"/>
  <c r="E2" i="2"/>
  <c r="D2" i="2"/>
  <c r="I13" i="2" s="1"/>
  <c r="B5" i="5" l="1"/>
  <c r="C5" i="6"/>
  <c r="I3" i="2"/>
  <c r="I4" i="2"/>
  <c r="I5" i="2"/>
  <c r="I6" i="2"/>
  <c r="I7" i="2"/>
  <c r="I8" i="2"/>
  <c r="I9" i="2"/>
  <c r="I10" i="2"/>
  <c r="I11" i="2"/>
  <c r="I12" i="2"/>
  <c r="I2" i="2"/>
  <c r="I14" i="2" s="1"/>
  <c r="C6" i="4"/>
  <c r="D6" i="4" s="1"/>
  <c r="M12" i="4"/>
  <c r="G12" i="4"/>
  <c r="B9" i="5"/>
  <c r="C9" i="5"/>
  <c r="B15" i="5" s="1" a="1"/>
  <c r="B15" i="5" s="1"/>
  <c r="B10" i="5"/>
  <c r="C10" i="5"/>
  <c r="B11" i="5"/>
  <c r="C11" i="5"/>
  <c r="B12" i="5"/>
  <c r="B13" i="5"/>
  <c r="C12" i="5"/>
  <c r="C13" i="5"/>
  <c r="C90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<sst xmlns="http://schemas.openxmlformats.org/spreadsheetml/2006/main" count="173" uniqueCount="122">
  <si>
    <t>Gehalt/Lohn</t>
  </si>
  <si>
    <t>Nebeneinkommen</t>
  </si>
  <si>
    <t>Kindergeld</t>
  </si>
  <si>
    <t>Rente/Pension</t>
  </si>
  <si>
    <t>Kapitalerträge</t>
  </si>
  <si>
    <t>Mieteinnahmen</t>
  </si>
  <si>
    <t>Sonstiges</t>
  </si>
  <si>
    <t>Wohnen</t>
  </si>
  <si>
    <t>Lebensmittel</t>
  </si>
  <si>
    <t>Transport</t>
  </si>
  <si>
    <t>Versicherungen</t>
  </si>
  <si>
    <t>Gesundheit</t>
  </si>
  <si>
    <t>Freizeit</t>
  </si>
  <si>
    <t>Kleidung</t>
  </si>
  <si>
    <t>Bildung</t>
  </si>
  <si>
    <t>Haushalt</t>
  </si>
  <si>
    <t>Sparen/Investitionen</t>
  </si>
  <si>
    <t>Datum</t>
  </si>
  <si>
    <t>Kategorie</t>
  </si>
  <si>
    <t>Betrag</t>
  </si>
  <si>
    <t>Monat</t>
  </si>
  <si>
    <t>Jahr</t>
  </si>
  <si>
    <t>Beschreibung</t>
  </si>
  <si>
    <t>Monatsgehalt</t>
  </si>
  <si>
    <t>Miete + Nebenkosten</t>
  </si>
  <si>
    <t># Wohnen</t>
  </si>
  <si>
    <t>Wohnen - Januar</t>
  </si>
  <si>
    <t>Wohnen - Februar</t>
  </si>
  <si>
    <t>Wohnen - März</t>
  </si>
  <si>
    <t>Wohnen - April</t>
  </si>
  <si>
    <t>Wohnen - Mai</t>
  </si>
  <si>
    <t>Wohnen - Juni</t>
  </si>
  <si>
    <t>Wohnen - Juli</t>
  </si>
  <si>
    <t>Wohnen - August</t>
  </si>
  <si>
    <t>Wohnen - September</t>
  </si>
  <si>
    <t>Wohnen - Oktober</t>
  </si>
  <si>
    <t>Wohnen - November</t>
  </si>
  <si>
    <t>Wohnen - Dezember</t>
  </si>
  <si>
    <t># Lebensmittel</t>
  </si>
  <si>
    <t>Lebensmittel - Januar</t>
  </si>
  <si>
    <t>Lebensmittel - Februar</t>
  </si>
  <si>
    <t>Lebensmittel - März</t>
  </si>
  <si>
    <t>Lebensmittel - April</t>
  </si>
  <si>
    <t>Lebensmittel - Mai</t>
  </si>
  <si>
    <t>Lebensmittel - Juni</t>
  </si>
  <si>
    <t>Lebensmittel - Juli</t>
  </si>
  <si>
    <t>Lebensmittel - August</t>
  </si>
  <si>
    <t>Lebensmittel - September</t>
  </si>
  <si>
    <t>Lebensmittel - Oktober</t>
  </si>
  <si>
    <t>Lebensmittel - November</t>
  </si>
  <si>
    <t>Lebensmittel - Dezember</t>
  </si>
  <si>
    <t>Januar Ausgaben:</t>
  </si>
  <si>
    <t>Februar Ausgaben:</t>
  </si>
  <si>
    <t>März Ausgaben:</t>
  </si>
  <si>
    <t>April Ausgaben:</t>
  </si>
  <si>
    <t>Mai Ausgaben:</t>
  </si>
  <si>
    <t>Juni Ausgaben:</t>
  </si>
  <si>
    <t>Juli Ausgaben:</t>
  </si>
  <si>
    <t>August Ausgaben:</t>
  </si>
  <si>
    <t>September Ausgaben:</t>
  </si>
  <si>
    <t>Oktober Ausgaben:</t>
  </si>
  <si>
    <t>November Ausgaben:</t>
  </si>
  <si>
    <t>Dezember Ausgaben:</t>
  </si>
  <si>
    <t>GESAMTAUSGABEN 2025: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</si>
  <si>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</si>
  <si>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</si>
  <si>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</si>
  <si>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</si>
  <si>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</si>
  <si>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</si>
  <si>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</si>
  <si>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</si>
  <si>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</si>
  <si>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</si>
  <si>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</si>
  <si>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</si>
  <si>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Einnahmen</t>
  </si>
  <si>
    <t>Ausgaben</t>
  </si>
  <si>
    <t>Saldo</t>
  </si>
  <si>
    <t>AUSGABEN NACH KATEGORIEN</t>
  </si>
  <si>
    <t>Monat auswählen:</t>
  </si>
  <si>
    <t>Januar</t>
  </si>
  <si>
    <t>Einnahmen im Monat:</t>
  </si>
  <si>
    <t>Ausgaben im Monat:</t>
  </si>
  <si>
    <t>Saldo im Monat:</t>
  </si>
  <si>
    <t>Größte Kategorie:</t>
  </si>
  <si>
    <t>Budget-Warnung:</t>
  </si>
  <si>
    <t>Gesamteinnahmen</t>
  </si>
  <si>
    <t>Gesamtausgaben</t>
  </si>
  <si>
    <t>Status</t>
  </si>
  <si>
    <t>HAUSHALTSBUCH 2025 v1.0
Fadi Finance - https://fadi.finance</t>
  </si>
  <si>
    <t>Februar</t>
  </si>
  <si>
    <t>Ergebnis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</si>
  <si>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</si>
  <si>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</si>
  <si>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</si>
  <si>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</si>
  <si>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</si>
  <si>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</si>
  <si>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</si>
  <si>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</si>
  <si>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</si>
  <si>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</si>
  <si>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</si>
  <si>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</si>
  <si>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</si>
  <si>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</si>
  <si>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</si>
  <si>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</si>
  <si>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</si>
  <si>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</si>
  <si>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</si>
  <si>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</si>
  <si>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Veränderung zu Vorjahr</t>
  </si>
  <si>
    <t>Sparquote</t>
  </si>
  <si>
    <t>Top 5 Ausgabenkategorien</t>
  </si>
  <si>
    <t>1. Kategorie</t>
  </si>
  <si>
    <t>2. Kategorie</t>
  </si>
  <si>
    <t>3. Kategorie</t>
  </si>
  <si>
    <t>4. Kategorie</t>
  </si>
  <si>
    <t>5. Kategorie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</si>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</sst>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/>
    <xf numFmtId="10" fontId="0" fillId="0" borderId="0" xfId="0" applyNumberFormat="1" applyAlignment="1">
      <alignment horizontal="left"/>
    </xf>
  </cellXfs>
  <cellStyles count="1">
    <cellStyle name="Standard" xfId="0" builtinId="0"/>
  </cellStyles>
  <dxfs count="5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9" formatCode="dd/mm/yyyy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numFmt numFmtId="19" formatCode="dd/mm/yyyy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/>
              <a:t>Ausgabenverteilung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58-41AB-A76B-C8FE4E1FBA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58-41AB-A76B-C8FE4E1FBA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58-41AB-A76B-C8FE4E1FBA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A58-41AB-A76B-C8FE4E1FBA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A58-41AB-A76B-C8FE4E1FBA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A58-41AB-A76B-C8FE4E1FBA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A58-41AB-A76B-C8FE4E1FBA9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A58-41AB-A76B-C8FE4E1FBA9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A58-41AB-A76B-C8FE4E1FBA9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A58-41AB-A76B-C8FE4E1FBA9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A58-41AB-A76B-C8FE4E1FBA9D}"/>
              </c:ext>
            </c:extLst>
          </c:dPt>
          <c:cat>
            <c:strRef>
              <c:f>Dashboard!$A$17:$A$27</c:f>
              <c:strCache>
                <c:ptCount val="11"/>
                <c:pt idx="0">
                  <c:v>Wohnen</c:v>
                </c:pt>
                <c:pt idx="1">
                  <c:v>Lebensmittel</c:v>
                </c:pt>
                <c:pt idx="2">
                  <c:v>Transport</c:v>
                </c:pt>
                <c:pt idx="3">
                  <c:v>Versicherungen</c:v>
                </c:pt>
                <c:pt idx="4">
                  <c:v>Gesundheit</c:v>
                </c:pt>
                <c:pt idx="5">
                  <c:v>Freizeit</c:v>
                </c:pt>
                <c:pt idx="6">
                  <c:v>Kleidung</c:v>
                </c:pt>
                <c:pt idx="7">
                  <c:v>Bildung</c:v>
                </c:pt>
                <c:pt idx="8">
                  <c:v>Haushalt</c:v>
                </c:pt>
                <c:pt idx="9">
                  <c:v>Sparen/Investitionen</c:v>
                </c:pt>
                <c:pt idx="10">
                  <c:v>Sonstiges</c:v>
                </c:pt>
              </c:strCache>
            </c:strRef>
          </c:cat>
          <c:val>
            <c:numRef>
              <c:f>Dashboard!$B$17:$B$27</c:f>
              <c:numCache>
                <c:formatCode>0.00</c:formatCode>
                <c:ptCount val="11"/>
                <c:pt idx="0">
                  <c:v>1200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5-47B1-9C9D-6C44D199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/>
              <a:t>Monatliche Einnahmen vs. Ausgaben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Dashboard!$A$10</c:f>
              <c:strCache>
                <c:ptCount val="1"/>
                <c:pt idx="0">
                  <c:v>Einnahmen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Dashboard!$B$9:$M$9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Dashboard!$B$10:$M$10</c:f>
              <c:numCache>
                <c:formatCode>0.00</c:formatCode>
                <c:ptCount val="12"/>
                <c:pt idx="0">
                  <c:v>3500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9-4F43-AE01-67CA32E03A3A}"/>
            </c:ext>
          </c:extLst>
        </c:ser>
        <c:ser>
          <c:idx val="1"/>
          <c:order val="1"/>
          <c:tx>
            <c:strRef>
              <c:f>Dashboard!$A$11</c:f>
              <c:strCache>
                <c:ptCount val="1"/>
                <c:pt idx="0">
                  <c:v>Ausgaben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Dashboard!$B$9:$M$9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Dashboard!$B$11:$M$11</c:f>
              <c:numCache>
                <c:formatCode>0.00</c:formatCode>
                <c:ptCount val="12"/>
                <c:pt idx="0">
                  <c:v>1200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9-4F43-AE01-67CA32E03A3A}"/>
            </c:ext>
          </c:extLst>
        </c:ser>
        <c:ser>
          <c:idx val="2"/>
          <c:order val="2"/>
          <c:tx>
            <c:strRef>
              <c:f>Dashboard!$A$12</c:f>
              <c:strCache>
                <c:ptCount val="1"/>
                <c:pt idx="0">
                  <c:v>Saldo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Dashboard!$B$9:$M$9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Dashboard!$B$12:$M$12</c:f>
              <c:numCache>
                <c:formatCode>0.00</c:formatCode>
                <c:ptCount val="12"/>
                <c:pt idx="0">
                  <c:v>2300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09-4F43-AE01-67CA32E0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48239"/>
        <c:axId val="407649199"/>
      </c:lineChart>
      <c:catAx>
        <c:axId val="407648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649199"/>
        <c:crosses val="autoZero"/>
        <c:auto val="1"/>
        <c:lblAlgn val="ctr"/>
        <c:lblOffset val="100"/>
        <c:noMultiLvlLbl val="0"/>
      </c:catAx>
      <c:valAx>
        <c:axId val="40764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648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/>
              <a:t>Ausgaben nach Kategorien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Dashboard!$A$17:$A$27</c:f>
              <c:strCache>
                <c:ptCount val="11"/>
                <c:pt idx="0">
                  <c:v>Wohnen</c:v>
                </c:pt>
                <c:pt idx="1">
                  <c:v>Lebensmittel</c:v>
                </c:pt>
                <c:pt idx="2">
                  <c:v>Transport</c:v>
                </c:pt>
                <c:pt idx="3">
                  <c:v>Versicherungen</c:v>
                </c:pt>
                <c:pt idx="4">
                  <c:v>Gesundheit</c:v>
                </c:pt>
                <c:pt idx="5">
                  <c:v>Freizeit</c:v>
                </c:pt>
                <c:pt idx="6">
                  <c:v>Kleidung</c:v>
                </c:pt>
                <c:pt idx="7">
                  <c:v>Bildung</c:v>
                </c:pt>
                <c:pt idx="8">
                  <c:v>Haushalt</c:v>
                </c:pt>
                <c:pt idx="9">
                  <c:v>Sparen/Investitionen</c:v>
                </c:pt>
                <c:pt idx="10">
                  <c:v>Sonstiges</c:v>
                </c:pt>
              </c:strCache>
            </c:strRef>
          </c:cat>
          <c:val>
            <c:numRef>
              <c:f>Dashboard!$B$17:$B$27</c:f>
              <c:numCache>
                <c:formatCode>0.00</c:formatCode>
                <c:ptCount val="11"/>
                <c:pt idx="0">
                  <c:v>1200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B-46A3-98A4-CCEA4458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665039"/>
        <c:axId val="407669359"/>
      </c:barChart>
      <c:catAx>
        <c:axId val="40766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669359"/>
        <c:crosses val="autoZero"/>
        <c:auto val="1"/>
        <c:lblAlgn val="ctr"/>
        <c:lblOffset val="100"/>
        <c:noMultiLvlLbl val="0"/>
      </c:catAx>
      <c:valAx>
        <c:axId val="40766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665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243840</xdr:colOff>
      <xdr:row>14</xdr:row>
      <xdr:rowOff>3810</xdr:rowOff>
    </xdr:from>
    <xdr:to>
      <xdr:col>8</xdr:col>
      <xdr:colOff>60960</xdr:colOff>
      <xdr:row>29</xdr:row>
      <xdr:rowOff>3810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95D3795-75DC-ADDF-0C33-E4CE0F4F2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236220</xdr:colOff>
      <xdr:row>1</xdr:row>
      <xdr:rowOff>22860</xdr:rowOff>
    </xdr:from>
    <xdr:to>
      <xdr:col>20</xdr:col>
      <xdr:colOff>53340</xdr:colOff>
      <xdr:row>16</xdr:row>
      <xdr:rowOff>11430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119D661-831E-9234-A3DB-FB72131F8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144780</xdr:colOff>
      <xdr:row>14</xdr:row>
      <xdr:rowOff>3810</xdr:rowOff>
    </xdr:from>
    <xdr:to>
      <xdr:col>13</xdr:col>
      <xdr:colOff>754380</xdr:colOff>
      <xdr:row>29</xdr:row>
      <xdr:rowOff>3810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EB837CAC-3300-ABB8-9794-AF8296D81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E35704-5CA6-437C-9347-4E88C9A7E135}" name="Zusammenfassung" displayName="Zusammenfassung" ref="A5:D6" totalsRowShown="0" headerRowDxfId="51" dataDxfId="50">
  <autoFilter ref="A5:D6" xr:uid="{3FE35704-5CA6-437C-9347-4E88C9A7E135}"/>
  <tableColumns count="4">
    <tableColumn id="1" xr3:uid="{CAAA766B-1290-4C98-B29A-944C87938F37}" name="Gesamteinnahmen" dataDxfId="55">
      <calculatedColumnFormula>Summe_Einnahmen[[#Totals],[Betrag]]</calculatedColumnFormula>
    </tableColumn>
    <tableColumn id="2" xr3:uid="{6F51A252-69E0-431A-B6A9-E9325A84D427}" name="Gesamtausgaben" dataDxfId="54">
      <calculatedColumnFormula>Ausgaben!C90</calculatedColumnFormula>
    </tableColumn>
    <tableColumn id="3" xr3:uid="{11B296C4-4AEC-42B2-AA5D-938DFD60F3EE}" name="Saldo" dataDxfId="53">
      <calculatedColumnFormula>A6-B6</calculatedColumnFormula>
    </tableColumn>
    <tableColumn id="4" xr3:uid="{B1031FEF-8C71-4037-AA2C-F6B43E12EAC8}" name="Status" dataDxfId="52">
      <calculatedColumnFormula>IF(C6&gt;0,"POSITIV ✓","NEGATIV ⚠")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CF0C84-5FAE-423B-BE44-A53104C1F54F}" name="Monatsübersicht" displayName="Monatsübersicht" ref="A9:M12" totalsRowShown="0" headerRowDxfId="36" dataDxfId="35">
  <autoFilter ref="A9:M12" xr:uid="{95CF0C84-5FAE-423B-BE44-A53104C1F54F}"/>
  <tableColumns count="13">
    <tableColumn id="1" xr3:uid="{BC4E470C-1EEA-42A9-A56B-42B4E728135A}" name="Monat" dataDxfId="49"/>
    <tableColumn id="2" xr3:uid="{4A57E78C-CC95-4940-96C2-A7BDA12B1A66}" name="Jan" dataDxfId="48"/>
    <tableColumn id="3" xr3:uid="{6A52CFE2-6538-4ABA-9771-5ECDA1763317}" name="Feb" dataDxfId="47"/>
    <tableColumn id="4" xr3:uid="{5F05A5A5-4F1C-47B4-B9D9-7A1AA3A6873A}" name="Mär" dataDxfId="46"/>
    <tableColumn id="5" xr3:uid="{9D1499AE-B7F6-42E0-879E-5225761E8112}" name="Apr" dataDxfId="45"/>
    <tableColumn id="6" xr3:uid="{7F45B55A-09D7-4966-8B37-60DC082DD4F6}" name="Mai" dataDxfId="44"/>
    <tableColumn id="7" xr3:uid="{15439AAA-8173-450A-9169-520F64BE0DE1}" name="Jun" dataDxfId="43"/>
    <tableColumn id="8" xr3:uid="{EA70BD88-1600-47A0-AD2D-C1D380E9DE04}" name="Jul" dataDxfId="42"/>
    <tableColumn id="9" xr3:uid="{1BAB4F13-39D8-482B-A536-A44B1D958801}" name="Aug" dataDxfId="41"/>
    <tableColumn id="10" xr3:uid="{48FBF320-2806-4DCD-A8F2-2F3F8F29CF90}" name="Sep" dataDxfId="40"/>
    <tableColumn id="11" xr3:uid="{85A89C3C-E88E-4A7A-83BA-854D6F93B852}" name="Okt" dataDxfId="39"/>
    <tableColumn id="12" xr3:uid="{DB808BC0-37D3-40E0-8491-E911869DACAD}" name="Nov" dataDxfId="38"/>
    <tableColumn id="13" xr3:uid="{533E6294-807B-4065-948C-9A21F2969907}" name="Dez" dataDxfId="37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CB0CEEA-823D-4D94-8AB7-096D3484B251}" name="Ausgaben_Kategorien" displayName="Ausgaben_Kategorien" ref="A16:B27" totalsRowShown="0">
  <autoFilter ref="A16:B27" xr:uid="{DCB0CEEA-823D-4D94-8AB7-096D3484B251}"/>
  <tableColumns count="2">
    <tableColumn id="1" xr3:uid="{30F21688-F3AD-4086-840C-6DAC56606B46}" name="Kategorie"/>
    <tableColumn id="2" xr3:uid="{48605C32-E8EC-4FFE-8BD7-021C98FC392C}" name="Betrag" dataDxfId="34"/>
  </tableColumns>
  <tableStyleInfo name="TableStyleLight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E5CF0E3-0FB5-44D3-9BFB-CD036A7203B5}" name="Einnahmen" displayName="Einnahmen" ref="A1:F2" totalsRowShown="0" headerRowDxfId="27" dataDxfId="26">
  <autoFilter ref="A1:F2" xr:uid="{2E5CF0E3-0FB5-44D3-9BFB-CD036A7203B5}"/>
  <tableColumns count="6">
    <tableColumn id="1" xr3:uid="{344223F0-220F-44B4-A4F3-6A08F8E0ACD7}" name="Datum" dataDxfId="33"/>
    <tableColumn id="2" xr3:uid="{AF44AC7A-1590-493D-97D8-3B85DDA8D6D1}" name="Kategorie" dataDxfId="32"/>
    <tableColumn id="3" xr3:uid="{1ACD5596-7D32-4EDA-BE1B-E44602D88962}" name="Betrag" dataDxfId="31"/>
    <tableColumn id="4" xr3:uid="{CF574DCB-98AF-4683-8B99-AAF3A23C3D54}" name="Monat" dataDxfId="30">
      <calculatedColumnFormula>MONTH(A2)</calculatedColumnFormula>
    </tableColumn>
    <tableColumn id="5" xr3:uid="{AABDC461-20E3-4CEA-A747-7E01E9C98473}" name="Jahr" dataDxfId="29">
      <calculatedColumnFormula>YEAR(A2)</calculatedColumnFormula>
    </tableColumn>
    <tableColumn id="6" xr3:uid="{E8109589-3CFC-4E0E-9A40-287191D0409F}" name="Beschreibung" dataDxfId="28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56D4A6-2496-4D84-B78A-3279CED90F28}" name="Summe_Einnahmen" displayName="Summe_Einnahmen" ref="H1:I14" totalsRowCount="1">
  <autoFilter ref="H1:I13" xr:uid="{1056D4A6-2496-4D84-B78A-3279CED90F28}"/>
  <tableColumns count="2">
    <tableColumn id="1" xr3:uid="{7515738B-3C21-43A3-9F6A-38A6658759D6}" name="Monat" totalsRowLabel="Ergebnis" dataDxfId="25"/>
    <tableColumn id="3" xr3:uid="{EDEC0A1E-3E6B-470B-A281-B463449A4EFA}" name="Betrag" totalsRowFunction="sum" dataDxfId="24" totalsRowDxfId="23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B14A51-DB07-4D76-96C8-076F445D5DC1}" name="Ausgaben" displayName="Ausgaben" ref="A1:F2" totalsRowShown="0" headerRowDxfId="16" dataDxfId="15">
  <autoFilter ref="A1:F2" xr:uid="{BEB14A51-DB07-4D76-96C8-076F445D5DC1}"/>
  <tableColumns count="6">
    <tableColumn id="1" xr3:uid="{A8308CB5-A92E-4F41-941E-CB5A2CED651F}" name="Datum" dataDxfId="22"/>
    <tableColumn id="2" xr3:uid="{7B194DCE-5404-4F1B-A738-CF1E783272FA}" name="Kategorie" dataDxfId="21"/>
    <tableColumn id="3" xr3:uid="{353E142B-F322-4CFC-A753-1A5F0690377E}" name="Betrag" dataDxfId="20"/>
    <tableColumn id="4" xr3:uid="{22374E57-0468-4E53-BF7E-763F2BED4B7B}" name="Monat" dataDxfId="19">
      <calculatedColumnFormula>MONTH(A2)</calculatedColumnFormula>
    </tableColumn>
    <tableColumn id="5" xr3:uid="{B2C2258C-19F4-48AE-8E15-A12034CE3E6E}" name="Jahr" dataDxfId="18">
      <calculatedColumnFormula>YEAR(A2)</calculatedColumnFormula>
    </tableColumn>
    <tableColumn id="6" xr3:uid="{F77C1D2D-B156-4895-A145-2E06A6C6A9F3}" name="Beschreibung" dataDxfId="17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AEB83B6-CEC0-44DA-893C-A5B9BA1499EC}" name="Summe_Ausgaben" displayName="Summe_Ausgaben" ref="H1:I14" totalsRowCount="1">
  <autoFilter ref="H1:I13" xr:uid="{9AEB83B6-CEC0-44DA-893C-A5B9BA1499EC}"/>
  <tableColumns count="2">
    <tableColumn id="1" xr3:uid="{0B5E0D9A-E25E-427B-A4EA-800343BAB2B2}" name="Monat" totalsRowLabel="Ergebnis" dataDxfId="14"/>
    <tableColumn id="3" xr3:uid="{D6B682EE-E8A9-4103-B08C-A21B90336D62}" name="Betrag" totalsRowFunction="sum" dataDxfId="12" totalsRowDxfId="13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A25D939-ABC4-48FF-A3D3-852F4D28DC18}" name="Tabelle11" displayName="Tabelle11" ref="A8:C13" totalsRowShown="0">
  <autoFilter ref="A8:C13" xr:uid="{5A25D939-ABC4-48FF-A3D3-852F4D28DC18}"/>
  <tableColumns count="3">
    <tableColumn id="1" xr3:uid="{1B275C98-795E-4519-A8ED-39C1A9B9655F}" name="#"/>
    <tableColumn id="2" xr3:uid="{0677831D-8B8B-46A6-BB00-4DDC36DEA94E}" name="Kategorie"/>
    <tableColumn id="3" xr3:uid="{617C41CD-204D-4C64-9D64-D5E2C5EF9F7E}" name="Betrag" dataDxfId="0"/>
  </tableColumns>
  <tableStyleInfo name="TableStyleLight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5EF0F1-BB30-446D-BC6D-C66456FE7F63}" name="Tabelle10" displayName="Tabelle10" ref="A1:L6" totalsRowShown="0">
  <autoFilter ref="A1:L6" xr:uid="{E15EF0F1-BB30-446D-BC6D-C66456FE7F63}"/>
  <tableColumns count="12">
    <tableColumn id="1" xr3:uid="{6ABD3918-A82A-4D50-97F8-119E8BA28228}" name="Jahr"/>
    <tableColumn id="2" xr3:uid="{5DC654C3-881B-45BE-8BEE-D8C157DDC1F2}" name="2025" dataDxfId="11"/>
    <tableColumn id="3" xr3:uid="{F61934C2-BCB0-4F52-9D38-56DBA17BB2DE}" name="2026" dataDxfId="10"/>
    <tableColumn id="4" xr3:uid="{F5038CF1-85F9-4460-9544-61A232DB45EE}" name="2027" dataDxfId="9"/>
    <tableColumn id="5" xr3:uid="{DC1AFB75-8646-488F-8350-55E6147888FB}" name="2028" dataDxfId="8"/>
    <tableColumn id="6" xr3:uid="{FC74FA11-2A83-4416-B2F5-123F6217742D}" name="2029" dataDxfId="7"/>
    <tableColumn id="7" xr3:uid="{EF8CB3C1-4882-4D3E-ADD6-AD0704E4DFE1}" name="2030" dataDxfId="6"/>
    <tableColumn id="8" xr3:uid="{99B4E951-6A95-4370-A424-C72A4BEE49EA}" name="2031" dataDxfId="5"/>
    <tableColumn id="9" xr3:uid="{EA71B1CD-665B-4336-BF60-2F0A756F1BD3}" name="2032" dataDxfId="4"/>
    <tableColumn id="10" xr3:uid="{8A7EF902-C479-4790-9972-58873ACC79F3}" name="2033" dataDxfId="3"/>
    <tableColumn id="11" xr3:uid="{DE93EFD5-3287-4CD7-A764-F3C845C8E8DD}" name="2034" dataDxfId="2"/>
    <tableColumn id="12" xr3:uid="{832F0FC4-F24B-468C-92CA-3292C19333E6}" name="2035" dataDxfId="1"/>
  </tableColumns>
  <tableStyleInfo name="TableStyleLight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6AA3A4-0ECA-4E09-BF50-A4EB48532A9B}" name="Tabelle2" displayName="Tabelle2" ref="A1:B12" totalsRowShown="0">
  <autoFilter ref="A1:B12" xr:uid="{8F6AA3A4-0ECA-4E09-BF50-A4EB48532A9B}"/>
  <tableColumns count="2">
    <tableColumn id="1" xr3:uid="{9C24F459-6ABD-479C-98CD-CBB32C98E249}" name="Einnahmen"/>
    <tableColumn id="2" xr3:uid="{3DCB3F36-2879-441A-840C-1DBE655FB7E8}" name="Ausgabe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F562-C798-48BE-9C6A-EFCA162C5C76}">
  <sheetPr>
    <tabColor theme="0" tint="-0.249977111117893"/>
  </sheetPr>
  <dimension ref="A1:M27"/>
  <sheetViews>
    <sheetView tabSelected="1" workbookViewId="0">
      <selection activeCell="A7" sqref="A7"/>
    </sheetView>
  </sheetViews>
  <sheetFormatPr baseColWidth="10" defaultRowHeight="14.4" x14ac:dyDescent="0.3"/>
  <cols>
    <col min="1" max="1" width="18.6640625" customWidth="1"/>
    <col min="2" max="2" width="17.33203125" style="3" customWidth="1"/>
  </cols>
  <sheetData>
    <row r="1" spans="1:13" x14ac:dyDescent="0.3">
      <c r="A1" s="5" t="s">
        <v>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x14ac:dyDescent="0.3">
      <c r="A5" s="6" t="s">
        <v>87</v>
      </c>
      <c r="B5" s="7" t="s">
        <v>88</v>
      </c>
      <c r="C5" s="6" t="s">
        <v>78</v>
      </c>
      <c r="D5" s="6" t="s">
        <v>89</v>
      </c>
    </row>
    <row r="6" spans="1:13" x14ac:dyDescent="0.3">
      <c r="A6" s="7">
        <f>Summe_Einnahmen[[#Totals],[Betrag]]</f>
        <v>3500</v>
      </c>
      <c r="B6" s="7">
        <f>Ausgaben!C90</f>
        <v>1200</v>
      </c>
      <c r="C6" s="7">
        <f>A6-B6</f>
        <v>2300</v>
      </c>
      <c r="D6" s="6" t="str">
        <f>IF(C6&gt;0,"POSITIV ✓","NEGATIV ⚠")</f>
        <v>POSITIV ✓</v>
      </c>
    </row>
    <row r="9" spans="1:13" x14ac:dyDescent="0.3">
      <c r="A9" s="6" t="s">
        <v>20</v>
      </c>
      <c r="B9" s="7" t="s">
        <v>64</v>
      </c>
      <c r="C9" s="6" t="s">
        <v>65</v>
      </c>
      <c r="D9" s="6" t="s">
        <v>66</v>
      </c>
      <c r="E9" s="6" t="s">
        <v>67</v>
      </c>
      <c r="F9" s="6" t="s">
        <v>68</v>
      </c>
      <c r="G9" s="6" t="s">
        <v>69</v>
      </c>
      <c r="H9" s="6" t="s">
        <v>70</v>
      </c>
      <c r="I9" s="6" t="s">
        <v>71</v>
      </c>
      <c r="J9" s="6" t="s">
        <v>72</v>
      </c>
      <c r="K9" s="6" t="s">
        <v>73</v>
      </c>
      <c r="L9" s="6" t="s">
        <v>74</v>
      </c>
      <c r="M9" s="6" t="s">
        <v>75</v>
      </c>
    </row>
    <row r="10" spans="1:13" x14ac:dyDescent="0.3">
      <c r="A10" s="6" t="s">
        <v>76</v>
      </c>
      <c r="B10" s="7">
        <f>Einnahmen!I2</f>
        <v>3500</v>
      </c>
      <c r="C10" s="7">
        <f>Einnahmen!I3</f>
        <v>0</v>
      </c>
      <c r="D10" s="7">
        <f>Einnahmen!I4</f>
        <v>0</v>
      </c>
      <c r="E10" s="7">
        <f>Einnahmen!I5</f>
        <v>0</v>
      </c>
      <c r="F10" s="7">
        <f>Einnahmen!I6</f>
        <v>0</v>
      </c>
      <c r="G10" s="7">
        <f>Einnahmen!I7</f>
        <v>0</v>
      </c>
      <c r="H10" s="7">
        <f>Einnahmen!I8</f>
        <v>0</v>
      </c>
      <c r="I10" s="7">
        <f>Einnahmen!I9</f>
        <v>0</v>
      </c>
      <c r="J10" s="7">
        <f>Einnahmen!I10</f>
        <v>0</v>
      </c>
      <c r="K10" s="7">
        <f>Einnahmen!I11</f>
        <v>0</v>
      </c>
      <c r="L10" s="7">
        <f>Einnahmen!I12</f>
        <v>0</v>
      </c>
      <c r="M10" s="7">
        <f>Einnahmen!I13</f>
        <v>0</v>
      </c>
    </row>
    <row r="11" spans="1:13" x14ac:dyDescent="0.3">
      <c r="A11" s="6" t="s">
        <v>77</v>
      </c>
      <c r="B11" s="7">
        <f>Ausgaben!C77</f>
        <v>1200</v>
      </c>
      <c r="C11" s="7">
        <f>Ausgaben!C78</f>
        <v>0</v>
      </c>
      <c r="D11" s="7">
        <f>Ausgaben!C79</f>
        <v>0</v>
      </c>
      <c r="E11" s="7">
        <f>Ausgaben!C80</f>
        <v>0</v>
      </c>
      <c r="F11" s="7">
        <f>Ausgaben!C81</f>
        <v>0</v>
      </c>
      <c r="G11" s="7">
        <f>Ausgaben!C82</f>
        <v>0</v>
      </c>
      <c r="H11" s="7">
        <f>Ausgaben!C83</f>
        <v>0</v>
      </c>
      <c r="I11" s="7">
        <f>Ausgaben!C84</f>
        <v>0</v>
      </c>
      <c r="J11" s="7">
        <f>Ausgaben!C85</f>
        <v>0</v>
      </c>
      <c r="K11" s="7">
        <f>Ausgaben!C86</f>
        <v>0</v>
      </c>
      <c r="L11" s="7">
        <f>Ausgaben!C87</f>
        <v>0</v>
      </c>
      <c r="M11" s="7">
        <f>Ausgaben!C88</f>
        <v>0</v>
      </c>
    </row>
    <row r="12" spans="1:13" x14ac:dyDescent="0.3">
      <c r="A12" s="6" t="s">
        <v>78</v>
      </c>
      <c r="B12" s="7">
        <f>B10-B11</f>
        <v>2300</v>
      </c>
      <c r="C12" s="7">
        <f>C10-C11</f>
        <v>0</v>
      </c>
      <c r="D12" s="7">
        <f t="shared" ref="D12:M12" si="0">D10-D11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</row>
    <row r="15" spans="1:13" x14ac:dyDescent="0.3">
      <c r="A15" s="8" t="s">
        <v>79</v>
      </c>
      <c r="B15" s="8"/>
    </row>
    <row r="16" spans="1:13" x14ac:dyDescent="0.3">
      <c r="A16" t="s">
        <v>18</v>
      </c>
      <c r="B16" s="3" t="s">
        <v>19</v>
      </c>
    </row>
    <row r="17" spans="1:2" x14ac:dyDescent="0.3">
      <c r="A17" t="s">
        <v>7</v>
      </c>
      <c r="B17" s="7">
        <f>SUMIFS(Ausgaben!C:C,Ausgaben!B:B,"Wohnen",Ausgaben!E:E,2025)</f>
        <v>1200</v>
      </c>
    </row>
    <row r="18" spans="1:2" x14ac:dyDescent="0.3">
      <c r="A18" t="s">
        <v>8</v>
      </c>
      <c r="B18" s="7">
        <f>SUMIFS(Ausgaben!C:C,Ausgaben!B:B,"Lebensmittel",Ausgaben!E:E,2025)</f>
        <v>0</v>
      </c>
    </row>
    <row r="19" spans="1:2" x14ac:dyDescent="0.3">
      <c r="A19" t="s">
        <v>9</v>
      </c>
      <c r="B19" s="7">
        <f>SUMIFS(Ausgaben!C:C,Ausgaben!B:B,"Transport",Ausgaben!E:E,2025)</f>
        <v>0</v>
      </c>
    </row>
    <row r="20" spans="1:2" x14ac:dyDescent="0.3">
      <c r="A20" t="s">
        <v>10</v>
      </c>
      <c r="B20" s="7">
        <f>SUMIFS(Ausgaben!C:C,Ausgaben!B:B,"Versicherungen",Ausgaben!E:E,2025)</f>
        <v>0</v>
      </c>
    </row>
    <row r="21" spans="1:2" x14ac:dyDescent="0.3">
      <c r="A21" t="s">
        <v>11</v>
      </c>
      <c r="B21" s="7">
        <f>SUMIFS(Ausgaben!C:C,Ausgaben!B:B,"Gesundheit",Ausgaben!E:E,2025)</f>
        <v>0</v>
      </c>
    </row>
    <row r="22" spans="1:2" x14ac:dyDescent="0.3">
      <c r="A22" t="s">
        <v>12</v>
      </c>
      <c r="B22" s="7">
        <f>SUMIFS(Ausgaben!C:C,Ausgaben!B:B,"Freizeit",Ausgaben!E:E,2025)</f>
        <v>0</v>
      </c>
    </row>
    <row r="23" spans="1:2" x14ac:dyDescent="0.3">
      <c r="A23" t="s">
        <v>13</v>
      </c>
      <c r="B23" s="7">
        <f>SUMIFS(Ausgaben!C:C,Ausgaben!B:B,"Kleidung",Ausgaben!E:E,2025)</f>
        <v>0</v>
      </c>
    </row>
    <row r="24" spans="1:2" x14ac:dyDescent="0.3">
      <c r="A24" t="s">
        <v>14</v>
      </c>
      <c r="B24" s="7">
        <f>SUMIFS(Ausgaben!C:C,Ausgaben!B:B,"Bildung",Ausgaben!E:E,2025)</f>
        <v>0</v>
      </c>
    </row>
    <row r="25" spans="1:2" x14ac:dyDescent="0.3">
      <c r="A25" t="s">
        <v>15</v>
      </c>
      <c r="B25" s="7">
        <f>SUMIFS(Ausgaben!C:C,Ausgaben!B:B,"Haushalt",Ausgaben!E:E,2025)</f>
        <v>0</v>
      </c>
    </row>
    <row r="26" spans="1:2" x14ac:dyDescent="0.3">
      <c r="A26" t="s">
        <v>16</v>
      </c>
      <c r="B26" s="7">
        <f>SUMIFS(Ausgaben!C:C,Ausgaben!B:B,"Sparen/Investitionen",Ausgaben!E:E,2025)</f>
        <v>0</v>
      </c>
    </row>
    <row r="27" spans="1:2" x14ac:dyDescent="0.3">
      <c r="A27" t="s">
        <v>6</v>
      </c>
      <c r="B27" s="7">
        <f>SUMIFS(Ausgaben!C:C,Ausgaben!B:B,"Sonstiges",Ausgaben!E:E,2025)</f>
        <v>0</v>
      </c>
    </row>
  </sheetData>
  <mergeCells count="2">
    <mergeCell ref="A1:M3"/>
    <mergeCell ref="A15:B15"/>
  </mergeCells>
  <pageMargins left="0.7" right="0.7" top="0.78740157499999996" bottom="0.78740157499999996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1958-9146-4970-9BD2-48EA241D2929}">
  <sheetPr>
    <tabColor theme="6" tint="0.39997558519241921"/>
  </sheetPr>
  <dimension ref="A1:I14"/>
  <sheetViews>
    <sheetView workbookViewId="0">
      <selection activeCell="A3" sqref="A3"/>
    </sheetView>
  </sheetViews>
  <sheetFormatPr baseColWidth="10" defaultRowHeight="14.4" x14ac:dyDescent="0.3"/>
  <cols>
    <col min="1" max="1" width="10.109375" style="1" bestFit="1" customWidth="1"/>
    <col min="2" max="2" width="11.109375" bestFit="1" customWidth="1"/>
    <col min="3" max="3" width="8.5546875" style="3" bestFit="1" customWidth="1"/>
    <col min="4" max="4" width="8.33203125" style="2" bestFit="1" customWidth="1"/>
    <col min="5" max="5" width="6.5546875" bestFit="1" customWidth="1"/>
    <col min="6" max="6" width="14.44140625" bestFit="1" customWidth="1"/>
    <col min="8" max="8" width="9.77734375" bestFit="1" customWidth="1"/>
    <col min="9" max="9" width="8.5546875" bestFit="1" customWidth="1"/>
  </cols>
  <sheetData>
    <row r="1" spans="1:9" x14ac:dyDescent="0.3">
      <c r="A1" s="9" t="s">
        <v>17</v>
      </c>
      <c r="B1" s="6" t="s">
        <v>18</v>
      </c>
      <c r="C1" s="7" t="s">
        <v>19</v>
      </c>
      <c r="D1" s="10" t="s">
        <v>20</v>
      </c>
      <c r="E1" s="6" t="s">
        <v>21</v>
      </c>
      <c r="F1" s="6" t="s">
        <v>22</v>
      </c>
      <c r="H1" t="s">
        <v>20</v>
      </c>
      <c r="I1" t="s">
        <v>19</v>
      </c>
    </row>
    <row r="2" spans="1:9" x14ac:dyDescent="0.3">
      <c r="A2" s="9">
        <v>45658</v>
      </c>
      <c r="B2" s="6" t="s">
        <v>0</v>
      </c>
      <c r="C2" s="7">
        <v>3500</v>
      </c>
      <c r="D2" s="10">
        <f>MONTH(A2)</f>
        <v>1</v>
      </c>
      <c r="E2" s="6">
        <f>YEAR(A2)</f>
        <v>2025</v>
      </c>
      <c r="F2" s="6" t="s">
        <v>23</v>
      </c>
      <c r="H2" s="1" t="s">
        <v>81</v>
      </c>
      <c r="I2" s="3">
        <f>SUMIFS(C:C,D:D,1,E:E,2025)</f>
        <v>3500</v>
      </c>
    </row>
    <row r="3" spans="1:9" x14ac:dyDescent="0.3">
      <c r="H3" s="1" t="s">
        <v>91</v>
      </c>
      <c r="I3" s="3">
        <f>SUMIFS(C:C,D:D,2,E:E,2025)</f>
        <v>0</v>
      </c>
    </row>
    <row r="4" spans="1:9" x14ac:dyDescent="0.3">
      <c r="H4" s="1" t="s">
        <v>93</v>
      </c>
      <c r="I4" s="3">
        <f>SUMIFS(C:C,D:D,3,E:E,2025)</f>
        <v>0</v>
      </c>
    </row>
    <row r="5" spans="1:9" x14ac:dyDescent="0.3">
      <c r="H5" s="1" t="s">
        <v>94</v>
      </c>
      <c r="I5" s="3">
        <f>SUMIFS(C:C,D:D,4,E:E,2025)</f>
        <v>0</v>
      </c>
    </row>
    <row r="6" spans="1:9" x14ac:dyDescent="0.3">
      <c r="H6" s="1" t="s">
        <v>68</v>
      </c>
      <c r="I6" s="3">
        <f>SUMIFS(C:C,D:D,5,E:E,2025)</f>
        <v>0</v>
      </c>
    </row>
    <row r="7" spans="1:9" x14ac:dyDescent="0.3">
      <c r="H7" s="1" t="s">
        <v>95</v>
      </c>
      <c r="I7" s="3">
        <f>SUMIFS(C:C,D:D,6,E:E,2025)</f>
        <v>0</v>
      </c>
    </row>
    <row r="8" spans="1:9" x14ac:dyDescent="0.3">
      <c r="H8" s="1" t="s">
        <v>96</v>
      </c>
      <c r="I8" s="3">
        <f>SUMIFS(C:C,D:D,7,E:E,2025)</f>
        <v>0</v>
      </c>
    </row>
    <row r="9" spans="1:9" x14ac:dyDescent="0.3">
      <c r="H9" s="1" t="s">
        <v>97</v>
      </c>
      <c r="I9" s="3">
        <f>SUMIFS(C:C,D:D,8,E:E,2025)</f>
        <v>0</v>
      </c>
    </row>
    <row r="10" spans="1:9" x14ac:dyDescent="0.3">
      <c r="H10" s="1" t="s">
        <v>98</v>
      </c>
      <c r="I10" s="3">
        <f>SUMIFS(C:C,D:D,9,E:E,2025)</f>
        <v>0</v>
      </c>
    </row>
    <row r="11" spans="1:9" x14ac:dyDescent="0.3">
      <c r="H11" s="1" t="s">
        <v>99</v>
      </c>
      <c r="I11" s="3">
        <f>SUMIFS(C:C,D:D,10,E:E,2025)</f>
        <v>0</v>
      </c>
    </row>
    <row r="12" spans="1:9" x14ac:dyDescent="0.3">
      <c r="H12" s="1" t="s">
        <v>100</v>
      </c>
      <c r="I12" s="3">
        <f>SUMIFS(C:C,D:D,11,E:E,2025)</f>
        <v>0</v>
      </c>
    </row>
    <row r="13" spans="1:9" x14ac:dyDescent="0.3">
      <c r="H13" s="1" t="s">
        <v>101</v>
      </c>
      <c r="I13" s="3">
        <f>SUMIFS(C:C,D:D,12,E:E,2025)</f>
        <v>0</v>
      </c>
    </row>
    <row r="14" spans="1:9" x14ac:dyDescent="0.3">
      <c r="H14" t="s">
        <v>92</v>
      </c>
      <c r="I14" s="3">
        <f>SUBTOTAL(109,Summe_Einnahmen[Betrag])</f>
        <v>3500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6B69-2655-4999-9D4D-5C0B980590BC}">
  <sheetPr>
    <tabColor rgb="FFFF0000"/>
  </sheetPr>
  <dimension ref="A1:I90"/>
  <sheetViews>
    <sheetView workbookViewId="0">
      <selection activeCell="A3" sqref="A3"/>
    </sheetView>
  </sheetViews>
  <sheetFormatPr baseColWidth="10" defaultRowHeight="14.4" x14ac:dyDescent="0.3"/>
  <cols>
    <col min="1" max="1" width="10.109375" style="1" bestFit="1" customWidth="1"/>
    <col min="2" max="2" width="11.109375" bestFit="1" customWidth="1"/>
    <col min="3" max="3" width="8.5546875" style="3" bestFit="1" customWidth="1"/>
    <col min="4" max="4" width="8.33203125" style="2" bestFit="1" customWidth="1"/>
    <col min="5" max="5" width="6.5546875" bestFit="1" customWidth="1"/>
    <col min="6" max="6" width="17.88671875" bestFit="1" customWidth="1"/>
    <col min="8" max="8" width="9.77734375" bestFit="1" customWidth="1"/>
    <col min="9" max="9" width="8.5546875" bestFit="1" customWidth="1"/>
  </cols>
  <sheetData>
    <row r="1" spans="1:9" x14ac:dyDescent="0.3">
      <c r="A1" s="9" t="s">
        <v>17</v>
      </c>
      <c r="B1" s="6" t="s">
        <v>18</v>
      </c>
      <c r="C1" s="7" t="s">
        <v>19</v>
      </c>
      <c r="D1" s="10" t="s">
        <v>20</v>
      </c>
      <c r="E1" s="6" t="s">
        <v>21</v>
      </c>
      <c r="F1" s="6" t="s">
        <v>22</v>
      </c>
      <c r="H1" t="s">
        <v>20</v>
      </c>
      <c r="I1" t="s">
        <v>19</v>
      </c>
    </row>
    <row r="2" spans="1:9" x14ac:dyDescent="0.3">
      <c r="A2" s="9">
        <v>45658</v>
      </c>
      <c r="B2" s="6" t="s">
        <v>7</v>
      </c>
      <c r="C2" s="7">
        <v>1200</v>
      </c>
      <c r="D2" s="10">
        <f>MONTH(A2)</f>
        <v>1</v>
      </c>
      <c r="E2" s="6">
        <f>YEAR(A2)</f>
        <v>2025</v>
      </c>
      <c r="F2" s="6" t="s">
        <v>24</v>
      </c>
      <c r="H2" s="1" t="s">
        <v>81</v>
      </c>
      <c r="I2" s="3">
        <f>SUMIFS(C:C,D:D,1,E:E,2025)</f>
        <v>1200</v>
      </c>
    </row>
    <row r="3" spans="1:9" x14ac:dyDescent="0.3">
      <c r="H3" s="1" t="s">
        <v>91</v>
      </c>
      <c r="I3" s="3">
        <f>SUMIFS(C:C,D:D,2,E:E,2025)</f>
        <v>0</v>
      </c>
    </row>
    <row r="4" spans="1:9" x14ac:dyDescent="0.3">
      <c r="H4" s="1" t="s">
        <v>93</v>
      </c>
      <c r="I4" s="3">
        <f>SUMIFS(C:C,D:D,3,E:E,2025)</f>
        <v>0</v>
      </c>
    </row>
    <row r="5" spans="1:9" x14ac:dyDescent="0.3">
      <c r="H5" s="1" t="s">
        <v>94</v>
      </c>
      <c r="I5" s="3">
        <f>SUMIFS(C:C,D:D,4,E:E,2025)</f>
        <v>0</v>
      </c>
    </row>
    <row r="6" spans="1:9" x14ac:dyDescent="0.3">
      <c r="H6" s="1" t="s">
        <v>68</v>
      </c>
      <c r="I6" s="3">
        <f>SUMIFS(C:C,D:D,5,E:E,2025)</f>
        <v>0</v>
      </c>
    </row>
    <row r="7" spans="1:9" x14ac:dyDescent="0.3">
      <c r="H7" s="1" t="s">
        <v>95</v>
      </c>
      <c r="I7" s="3">
        <f>SUMIFS(C:C,D:D,6,E:E,2025)</f>
        <v>0</v>
      </c>
    </row>
    <row r="8" spans="1:9" x14ac:dyDescent="0.3">
      <c r="H8" s="1" t="s">
        <v>96</v>
      </c>
      <c r="I8" s="3">
        <f>SUMIFS(C:C,D:D,7,E:E,2025)</f>
        <v>0</v>
      </c>
    </row>
    <row r="9" spans="1:9" x14ac:dyDescent="0.3">
      <c r="H9" s="1" t="s">
        <v>97</v>
      </c>
      <c r="I9" s="3">
        <f>SUMIFS(C:C,D:D,8,E:E,2025)</f>
        <v>0</v>
      </c>
    </row>
    <row r="10" spans="1:9" x14ac:dyDescent="0.3">
      <c r="H10" s="1" t="s">
        <v>98</v>
      </c>
      <c r="I10" s="3">
        <f>SUMIFS(C:C,D:D,9,E:E,2025)</f>
        <v>0</v>
      </c>
    </row>
    <row r="11" spans="1:9" x14ac:dyDescent="0.3">
      <c r="H11" s="1" t="s">
        <v>99</v>
      </c>
      <c r="I11" s="3">
        <f>SUMIFS(C:C,D:D,10,E:E,2025)</f>
        <v>0</v>
      </c>
    </row>
    <row r="12" spans="1:9" x14ac:dyDescent="0.3">
      <c r="H12" s="1" t="s">
        <v>100</v>
      </c>
      <c r="I12" s="3">
        <f>SUMIFS(C:C,D:D,11,E:E,2025)</f>
        <v>0</v>
      </c>
    </row>
    <row r="13" spans="1:9" x14ac:dyDescent="0.3">
      <c r="H13" s="1" t="s">
        <v>101</v>
      </c>
      <c r="I13" s="3">
        <f>SUMIFS(C:C,D:D,12,E:E,2025)</f>
        <v>0</v>
      </c>
    </row>
    <row r="14" spans="1:9" x14ac:dyDescent="0.3">
      <c r="H14" t="s">
        <v>92</v>
      </c>
      <c r="I14" s="3">
        <f>SUBTOTAL(109,Summe_Ausgaben[Betrag])</f>
        <v>1200</v>
      </c>
    </row>
    <row r="49" spans="1:3" x14ac:dyDescent="0.3">
      <c r="A49" s="1" t="s">
        <v>25</v>
      </c>
    </row>
    <row r="50" spans="1:3" x14ac:dyDescent="0.3">
      <c r="A50" s="1" t="s">
        <v>26</v>
      </c>
      <c r="C50" s="3">
        <f>SUMIFS(C:C,B:B,"Wohnen",D:D,1,E:E,2025)</f>
        <v>1200</v>
      </c>
    </row>
    <row r="51" spans="1:3" x14ac:dyDescent="0.3">
      <c r="A51" s="1" t="s">
        <v>27</v>
      </c>
      <c r="C51" s="3">
        <f>SUMIFS(C:C,B:B,"Wohnen",D:D,2,E:E,2025)</f>
        <v>0</v>
      </c>
    </row>
    <row r="52" spans="1:3" x14ac:dyDescent="0.3">
      <c r="A52" s="1" t="s">
        <v>28</v>
      </c>
      <c r="C52" s="3">
        <f>SUMIFS(C:C,B:B,"Wohnen",D:D,3,E:E,2025)</f>
        <v>0</v>
      </c>
    </row>
    <row r="53" spans="1:3" x14ac:dyDescent="0.3">
      <c r="A53" s="1" t="s">
        <v>29</v>
      </c>
      <c r="C53" s="3">
        <f>SUMIFS(C:C,B:B,"Wohnen",D:D,4,E:E,2025)</f>
        <v>0</v>
      </c>
    </row>
    <row r="54" spans="1:3" x14ac:dyDescent="0.3">
      <c r="A54" s="1" t="s">
        <v>30</v>
      </c>
      <c r="C54" s="3">
        <f>SUMIFS(C:C,B:B,"Wohnen",D:D,5,E:E,2025)</f>
        <v>0</v>
      </c>
    </row>
    <row r="55" spans="1:3" x14ac:dyDescent="0.3">
      <c r="A55" s="1" t="s">
        <v>31</v>
      </c>
      <c r="C55" s="3">
        <f>SUMIFS(C:C,B:B,"Wohnen",D:D,6,E:E,2025)</f>
        <v>0</v>
      </c>
    </row>
    <row r="56" spans="1:3" x14ac:dyDescent="0.3">
      <c r="A56" s="1" t="s">
        <v>32</v>
      </c>
      <c r="C56" s="3">
        <f>SUMIFS(C:C,B:B,"Wohnen",D:D,7,E:E,2025)</f>
        <v>0</v>
      </c>
    </row>
    <row r="57" spans="1:3" x14ac:dyDescent="0.3">
      <c r="A57" s="1" t="s">
        <v>33</v>
      </c>
      <c r="C57" s="3">
        <f>SUMIFS(C:C,B:B,"Wohnen",D:D,8,E:E,2025)</f>
        <v>0</v>
      </c>
    </row>
    <row r="58" spans="1:3" x14ac:dyDescent="0.3">
      <c r="A58" s="1" t="s">
        <v>34</v>
      </c>
      <c r="C58" s="3">
        <f>SUMIFS(C:C,B:B,"Wohnen",D:D,9,E:E,2025)</f>
        <v>0</v>
      </c>
    </row>
    <row r="59" spans="1:3" x14ac:dyDescent="0.3">
      <c r="A59" s="1" t="s">
        <v>35</v>
      </c>
      <c r="C59" s="3">
        <f>SUMIFS(C:C,B:B,"Wohnen",D:D,10,E:E,2025)</f>
        <v>0</v>
      </c>
    </row>
    <row r="60" spans="1:3" x14ac:dyDescent="0.3">
      <c r="A60" s="1" t="s">
        <v>36</v>
      </c>
      <c r="C60" s="3">
        <f>SUMIFS(C:C,B:B,"Wohnen",D:D,11,E:E,2025)</f>
        <v>0</v>
      </c>
    </row>
    <row r="61" spans="1:3" x14ac:dyDescent="0.3">
      <c r="A61" s="1" t="s">
        <v>37</v>
      </c>
      <c r="C61" s="3">
        <f>SUMIFS(C:C,B:B,"Wohnen",D:D,12,E:E,2025)</f>
        <v>0</v>
      </c>
    </row>
    <row r="63" spans="1:3" x14ac:dyDescent="0.3">
      <c r="A63" s="1" t="s">
        <v>38</v>
      </c>
    </row>
    <row r="64" spans="1:3" x14ac:dyDescent="0.3">
      <c r="A64" s="1" t="s">
        <v>39</v>
      </c>
      <c r="C64" s="3">
        <f>SUMIFS(C:C,B:B,"Lebensmittel",D:D,1,E:E,2025)</f>
        <v>0</v>
      </c>
    </row>
    <row r="65" spans="1:3" x14ac:dyDescent="0.3">
      <c r="A65" s="1" t="s">
        <v>40</v>
      </c>
      <c r="C65" s="3">
        <f>SUMIFS(C:C,B:B,"Lebensmittel",D:D,2,E:E,2025)</f>
        <v>0</v>
      </c>
    </row>
    <row r="66" spans="1:3" x14ac:dyDescent="0.3">
      <c r="A66" s="1" t="s">
        <v>41</v>
      </c>
      <c r="C66" s="3">
        <f>SUMIFS(C:C,B:B,"Lebensmittel",D:D,3,E:E,2025)</f>
        <v>0</v>
      </c>
    </row>
    <row r="67" spans="1:3" x14ac:dyDescent="0.3">
      <c r="A67" s="1" t="s">
        <v>42</v>
      </c>
      <c r="C67" s="3">
        <f>SUMIFS(C:C,B:B,"Lebensmittel",D:D,4,E:E,2025)</f>
        <v>0</v>
      </c>
    </row>
    <row r="68" spans="1:3" x14ac:dyDescent="0.3">
      <c r="A68" s="1" t="s">
        <v>43</v>
      </c>
      <c r="C68" s="3">
        <f>SUMIFS(C:C,B:B,"Lebensmittel",D:D,5,E:E,2025)</f>
        <v>0</v>
      </c>
    </row>
    <row r="69" spans="1:3" x14ac:dyDescent="0.3">
      <c r="A69" s="1" t="s">
        <v>44</v>
      </c>
      <c r="C69" s="3">
        <f>SUMIFS(C:C,B:B,"Lebensmittel",D:D,6,E:E,2025)</f>
        <v>0</v>
      </c>
    </row>
    <row r="70" spans="1:3" x14ac:dyDescent="0.3">
      <c r="A70" s="1" t="s">
        <v>45</v>
      </c>
      <c r="C70" s="3">
        <f>SUMIFS(C:C,B:B,"Lebensmittel",D:D,7,E:E,2025)</f>
        <v>0</v>
      </c>
    </row>
    <row r="71" spans="1:3" x14ac:dyDescent="0.3">
      <c r="A71" s="1" t="s">
        <v>46</v>
      </c>
      <c r="C71" s="3">
        <f>SUMIFS(C:C,B:B,"Lebensmittel",D:D,8,E:E,2025)</f>
        <v>0</v>
      </c>
    </row>
    <row r="72" spans="1:3" x14ac:dyDescent="0.3">
      <c r="A72" s="1" t="s">
        <v>47</v>
      </c>
      <c r="C72" s="3">
        <f>SUMIFS(C:C,B:B,"Lebensmittel",D:D,9,E:E,2025)</f>
        <v>0</v>
      </c>
    </row>
    <row r="73" spans="1:3" x14ac:dyDescent="0.3">
      <c r="A73" s="1" t="s">
        <v>48</v>
      </c>
      <c r="C73" s="3">
        <f>SUMIFS(C:C,B:B,"Lebensmittel",D:D,10,E:E,2025)</f>
        <v>0</v>
      </c>
    </row>
    <row r="74" spans="1:3" x14ac:dyDescent="0.3">
      <c r="A74" s="1" t="s">
        <v>49</v>
      </c>
      <c r="C74" s="3">
        <f>SUMIFS(C:C,B:B,"Lebensmittel",D:D,11,E:E,2025)</f>
        <v>0</v>
      </c>
    </row>
    <row r="75" spans="1:3" x14ac:dyDescent="0.3">
      <c r="A75" s="1" t="s">
        <v>50</v>
      </c>
      <c r="C75" s="3">
        <f>SUMIFS(C:C,B:B,"Lebensmittel",D:D,12,E:E,2025)</f>
        <v>0</v>
      </c>
    </row>
    <row r="77" spans="1:3" x14ac:dyDescent="0.3">
      <c r="A77" t="s">
        <v>51</v>
      </c>
      <c r="C77" s="3">
        <f>SUMIFS(C:C,D:D,1,E:E,2025)</f>
        <v>1200</v>
      </c>
    </row>
    <row r="78" spans="1:3" x14ac:dyDescent="0.3">
      <c r="A78" s="1" t="s">
        <v>52</v>
      </c>
      <c r="C78" s="3">
        <f>SUMIFS(C:C,D:D,2,E:E,2025)</f>
        <v>0</v>
      </c>
    </row>
    <row r="79" spans="1:3" x14ac:dyDescent="0.3">
      <c r="A79" s="1" t="s">
        <v>53</v>
      </c>
      <c r="C79" s="3">
        <f>SUMIFS(C:C,D:D,3,E:E,2025)</f>
        <v>0</v>
      </c>
    </row>
    <row r="80" spans="1:3" x14ac:dyDescent="0.3">
      <c r="A80" s="1" t="s">
        <v>54</v>
      </c>
      <c r="C80" s="3">
        <f>SUMIFS(C:C,D:D,4,E:E,2025)</f>
        <v>0</v>
      </c>
    </row>
    <row r="81" spans="1:3" x14ac:dyDescent="0.3">
      <c r="A81" s="1" t="s">
        <v>55</v>
      </c>
      <c r="C81" s="3">
        <f>SUMIFS(C:C,D:D,5,E:E,2025)</f>
        <v>0</v>
      </c>
    </row>
    <row r="82" spans="1:3" x14ac:dyDescent="0.3">
      <c r="A82" s="1" t="s">
        <v>56</v>
      </c>
      <c r="C82" s="3">
        <f>SUMIFS(C:C,D:D,6,E:E,2025)</f>
        <v>0</v>
      </c>
    </row>
    <row r="83" spans="1:3" x14ac:dyDescent="0.3">
      <c r="A83" s="1" t="s">
        <v>57</v>
      </c>
      <c r="C83" s="3">
        <f>SUMIFS(C:C,D:D,7,E:E,2025)</f>
        <v>0</v>
      </c>
    </row>
    <row r="84" spans="1:3" x14ac:dyDescent="0.3">
      <c r="A84" s="1" t="s">
        <v>58</v>
      </c>
      <c r="C84" s="3">
        <f>SUMIFS(C:C,D:D,8,E:E,2025)</f>
        <v>0</v>
      </c>
    </row>
    <row r="85" spans="1:3" x14ac:dyDescent="0.3">
      <c r="A85" s="1" t="s">
        <v>59</v>
      </c>
      <c r="C85" s="3">
        <f>SUMIFS(C:C,D:D,9,E:E,2025)</f>
        <v>0</v>
      </c>
    </row>
    <row r="86" spans="1:3" x14ac:dyDescent="0.3">
      <c r="A86" s="1" t="s">
        <v>60</v>
      </c>
      <c r="C86" s="3">
        <f>SUMIFS(C:C,D:D,10,E:E,2025)</f>
        <v>0</v>
      </c>
    </row>
    <row r="87" spans="1:3" x14ac:dyDescent="0.3">
      <c r="A87" s="1" t="s">
        <v>61</v>
      </c>
      <c r="C87" s="3">
        <f>SUMIFS(C:C,D:D,11,E:E,2025)</f>
        <v>0</v>
      </c>
    </row>
    <row r="88" spans="1:3" x14ac:dyDescent="0.3">
      <c r="A88" s="1" t="s">
        <v>62</v>
      </c>
      <c r="C88" s="3">
        <f>SUMIFS(C:C,D:D,12,E:E,2025)</f>
        <v>0</v>
      </c>
    </row>
    <row r="90" spans="1:3" x14ac:dyDescent="0.3">
      <c r="A90" t="s">
        <v>63</v>
      </c>
      <c r="C90" s="3">
        <f>SUM(C70:C81)</f>
        <v>1200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CB141-4FA2-41DF-A05C-742FAC715F16}">
  <sheetPr>
    <tabColor rgb="FFFFCC00"/>
  </sheetPr>
  <dimension ref="A1:C16"/>
  <sheetViews>
    <sheetView workbookViewId="0">
      <selection activeCell="A2" sqref="A2"/>
    </sheetView>
  </sheetViews>
  <sheetFormatPr baseColWidth="10" defaultRowHeight="14.4" x14ac:dyDescent="0.3"/>
  <cols>
    <col min="1" max="1" width="22.109375" bestFit="1" customWidth="1"/>
    <col min="2" max="2" width="18.6640625" customWidth="1"/>
    <col min="3" max="3" width="8.5546875" style="3" bestFit="1" customWidth="1"/>
  </cols>
  <sheetData>
    <row r="1" spans="1:3" x14ac:dyDescent="0.3">
      <c r="A1" s="12" t="s">
        <v>80</v>
      </c>
      <c r="B1" t="s">
        <v>81</v>
      </c>
    </row>
    <row r="3" spans="1:3" x14ac:dyDescent="0.3">
      <c r="A3" t="s">
        <v>82</v>
      </c>
      <c r="B3" s="7">
        <f>SUMIFS(Einnahmen!C:C,Einnahmen!D:D,B1,Einnahmen!E:E,2025)</f>
        <v>0</v>
      </c>
    </row>
    <row r="4" spans="1:3" x14ac:dyDescent="0.3">
      <c r="A4" t="s">
        <v>83</v>
      </c>
      <c r="B4" s="7">
        <f>SUMIFS(Ausgaben!C:C,Ausgaben!D:D,B1,Ausgaben!E:E,2025)</f>
        <v>0</v>
      </c>
    </row>
    <row r="5" spans="1:3" x14ac:dyDescent="0.3">
      <c r="A5" t="s">
        <v>84</v>
      </c>
      <c r="B5" s="7">
        <f>B3-B4</f>
        <v>0</v>
      </c>
    </row>
    <row r="7" spans="1:3" x14ac:dyDescent="0.3">
      <c r="A7" s="11" t="s">
        <v>115</v>
      </c>
      <c r="B7" s="11"/>
      <c r="C7" s="11"/>
    </row>
    <row r="8" spans="1:3" x14ac:dyDescent="0.3">
      <c r="A8" t="s">
        <v>121</v>
      </c>
      <c r="B8" t="s">
        <v>18</v>
      </c>
      <c r="C8" s="3" t="s">
        <v>19</v>
      </c>
    </row>
    <row r="9" spans="1:3" x14ac:dyDescent="0.3">
      <c r="A9" t="s">
        <v>116</v>
      </c>
      <c r="B9" t="str">
        <f>INDEX(Dashboard!$A$17:$A$27,MATCH(LARGE(Dashboard!$B$17:$B$27,1),Dashboard!$B$17:$B$27,0))</f>
        <v>Wohnen</v>
      </c>
      <c r="C9" s="3">
        <f>LARGE(Dashboard!$B$17:$B$27,1)</f>
        <v>1200</v>
      </c>
    </row>
    <row r="10" spans="1:3" x14ac:dyDescent="0.3">
      <c r="A10" t="s">
        <v>117</v>
      </c>
      <c r="B10" t="str">
        <f>INDEX(Dashboard!$A$17:$A$27,MATCH(LARGE(Dashboard!$B$17:$B$27,2),Dashboard!$B$17:$B$27,0))</f>
        <v>Lebensmittel</v>
      </c>
      <c r="C10" s="3">
        <f>LARGE(Dashboard!$B$17:$B$27,2)</f>
        <v>0</v>
      </c>
    </row>
    <row r="11" spans="1:3" x14ac:dyDescent="0.3">
      <c r="A11" t="s">
        <v>118</v>
      </c>
      <c r="B11" t="str">
        <f>INDEX(Dashboard!$A$17:$A$27,MATCH(LARGE(Dashboard!$B$17:$B$27,3),Dashboard!$B$17:$B$27,0))</f>
        <v>Lebensmittel</v>
      </c>
      <c r="C11" s="3">
        <f>LARGE(Dashboard!$B$17:$B$27,3)</f>
        <v>0</v>
      </c>
    </row>
    <row r="12" spans="1:3" x14ac:dyDescent="0.3">
      <c r="A12" t="s">
        <v>119</v>
      </c>
      <c r="B12" t="str">
        <f>INDEX(Dashboard!$A$17:$A$27,MATCH(LARGE(Dashboard!$B$17:$B$27,4),Dashboard!$B$17:$B$27,0))</f>
        <v>Lebensmittel</v>
      </c>
      <c r="C12" s="3">
        <f>LARGE(Dashboard!$B$17:$B$27,4)</f>
        <v>0</v>
      </c>
    </row>
    <row r="13" spans="1:3" x14ac:dyDescent="0.3">
      <c r="A13" t="s">
        <v>120</v>
      </c>
      <c r="B13" t="str">
        <f>INDEX(Dashboard!$A$17:$A$27,MATCH(LARGE(Dashboard!$B$17:$B$27,5),Dashboard!$B$17:$B$27,0))</f>
        <v>Lebensmittel</v>
      </c>
      <c r="C13" s="3">
        <f>LARGE(Dashboard!$B$17:$B$27,5)</f>
        <v>0</v>
      </c>
    </row>
    <row r="15" spans="1:3" x14ac:dyDescent="0.3">
      <c r="A15" t="s">
        <v>85</v>
      </c>
      <c r="B15" s="13" cm="1">
        <f t="array" ref="B15">C9/Zusammenfassung[Gesamtausgaben]</f>
        <v>1</v>
      </c>
    </row>
    <row r="16" spans="1:3" x14ac:dyDescent="0.3">
      <c r="A16" t="s">
        <v>86</v>
      </c>
      <c r="B16" s="6" t="str" cm="1">
        <f t="array" ref="B16">IF(Zusammenfassung[Gesamtausgaben]&gt;Zusammenfassung[Gesamteinnahmen],"⚠ BUDGET ÜBERSCHRITTEN","✓ Budget eingehalten")</f>
        <v>✓ Budget eingehalten</v>
      </c>
    </row>
  </sheetData>
  <mergeCells count="1">
    <mergeCell ref="A7:C7"/>
  </mergeCells>
  <phoneticPr fontId="1" type="noConversion"/>
  <dataValidations count="1">
    <dataValidation type="list" allowBlank="1" showInputMessage="1" showErrorMessage="1" sqref="B1" xr:uid="{50EBA681-0B61-4CFF-9A08-DC24424A4FCF}">
      <formula1>"Januar,Februar,März,April,Mai,Juni,Juli,August,September,Oktober,November,Dezember"</formula1>
    </dataValidation>
  </dataValidation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6BB9-E638-41CE-8589-7C092ED73778}">
  <sheetPr>
    <tabColor theme="5" tint="0.39997558519241921"/>
  </sheetPr>
  <dimension ref="A1:L6"/>
  <sheetViews>
    <sheetView workbookViewId="0">
      <selection activeCell="A7" sqref="A7"/>
    </sheetView>
  </sheetViews>
  <sheetFormatPr baseColWidth="10" defaultRowHeight="14.4" x14ac:dyDescent="0.3"/>
  <cols>
    <col min="1" max="1" width="19.77734375" bestFit="1" customWidth="1"/>
    <col min="2" max="2" width="8.21875" bestFit="1" customWidth="1"/>
    <col min="3" max="3" width="8.21875" style="3" bestFit="1" customWidth="1"/>
    <col min="4" max="12" width="7.21875" style="3" bestFit="1" customWidth="1"/>
  </cols>
  <sheetData>
    <row r="1" spans="1:12" x14ac:dyDescent="0.3">
      <c r="A1" t="s">
        <v>21</v>
      </c>
      <c r="B1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</row>
    <row r="2" spans="1:12" x14ac:dyDescent="0.3">
      <c r="A2" t="s">
        <v>87</v>
      </c>
      <c r="B2" s="3">
        <f>Summe_Einnahmen[[#Totals],[Betrag]]</f>
        <v>3500</v>
      </c>
    </row>
    <row r="3" spans="1:12" x14ac:dyDescent="0.3">
      <c r="A3" t="s">
        <v>88</v>
      </c>
      <c r="B3" s="3">
        <f>Summe_Ausgaben[[#Totals],[Betrag]]</f>
        <v>1200</v>
      </c>
    </row>
    <row r="4" spans="1:12" x14ac:dyDescent="0.3">
      <c r="A4" t="s">
        <v>78</v>
      </c>
      <c r="B4" s="3">
        <f>B2-B3</f>
        <v>2300</v>
      </c>
    </row>
    <row r="5" spans="1:12" x14ac:dyDescent="0.3">
      <c r="A5" t="s">
        <v>113</v>
      </c>
      <c r="B5" s="3">
        <v>0</v>
      </c>
      <c r="C5" s="3">
        <f>C4-B4</f>
        <v>-2300</v>
      </c>
      <c r="D5" s="3">
        <f t="shared" ref="D5:L5" si="0">D4-C4</f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</row>
    <row r="6" spans="1:12" x14ac:dyDescent="0.3">
      <c r="A6" t="s">
        <v>114</v>
      </c>
      <c r="B6" s="4">
        <f>B4/B2</f>
        <v>0.65714285714285714</v>
      </c>
      <c r="C6" s="4" t="e">
        <f t="shared" ref="C6:L6" si="1">C4/C2</f>
        <v>#DIV/0!</v>
      </c>
      <c r="D6" s="4" t="e">
        <f t="shared" si="1"/>
        <v>#DIV/0!</v>
      </c>
      <c r="E6" s="4" t="e">
        <f t="shared" si="1"/>
        <v>#DIV/0!</v>
      </c>
      <c r="F6" s="4" t="e">
        <f t="shared" si="1"/>
        <v>#DIV/0!</v>
      </c>
      <c r="G6" s="4" t="e">
        <f t="shared" si="1"/>
        <v>#DIV/0!</v>
      </c>
      <c r="H6" s="4" t="e">
        <f t="shared" si="1"/>
        <v>#DIV/0!</v>
      </c>
      <c r="I6" s="4" t="e">
        <f t="shared" si="1"/>
        <v>#DIV/0!</v>
      </c>
      <c r="J6" s="4" t="e">
        <f t="shared" si="1"/>
        <v>#DIV/0!</v>
      </c>
      <c r="K6" s="4" t="e">
        <f t="shared" si="1"/>
        <v>#DIV/0!</v>
      </c>
      <c r="L6" s="4" t="e">
        <f t="shared" si="1"/>
        <v>#DIV/0!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072-80E6-4CD5-AE04-8D72D38F3265}">
  <sheetPr>
    <tabColor theme="4" tint="0.39997558519241921"/>
  </sheetPr>
  <dimension ref="A1:B12"/>
  <sheetViews>
    <sheetView workbookViewId="0">
      <selection activeCell="A13" sqref="A13"/>
    </sheetView>
  </sheetViews>
  <sheetFormatPr baseColWidth="10" defaultRowHeight="14.4" x14ac:dyDescent="0.3"/>
  <cols>
    <col min="1" max="1" width="15.77734375" bestFit="1" customWidth="1"/>
    <col min="2" max="2" width="17.5546875" bestFit="1" customWidth="1"/>
  </cols>
  <sheetData>
    <row r="1" spans="1:2" x14ac:dyDescent="0.3">
      <c r="A1" t="s">
        <v>76</v>
      </c>
      <c r="B1" t="s">
        <v>77</v>
      </c>
    </row>
    <row r="2" spans="1:2" x14ac:dyDescent="0.3">
      <c r="A2" t="s">
        <v>0</v>
      </c>
      <c r="B2" t="s">
        <v>7</v>
      </c>
    </row>
    <row r="3" spans="1:2" x14ac:dyDescent="0.3">
      <c r="A3" t="s">
        <v>1</v>
      </c>
      <c r="B3" t="s">
        <v>8</v>
      </c>
    </row>
    <row r="4" spans="1:2" x14ac:dyDescent="0.3">
      <c r="A4" t="s">
        <v>2</v>
      </c>
      <c r="B4" t="s">
        <v>9</v>
      </c>
    </row>
    <row r="5" spans="1:2" x14ac:dyDescent="0.3">
      <c r="A5" t="s">
        <v>3</v>
      </c>
      <c r="B5" t="s">
        <v>10</v>
      </c>
    </row>
    <row r="6" spans="1:2" x14ac:dyDescent="0.3">
      <c r="A6" t="s">
        <v>4</v>
      </c>
      <c r="B6" t="s">
        <v>11</v>
      </c>
    </row>
    <row r="7" spans="1:2" x14ac:dyDescent="0.3">
      <c r="A7" t="s">
        <v>5</v>
      </c>
      <c r="B7" t="s">
        <v>12</v>
      </c>
    </row>
    <row r="8" spans="1:2" x14ac:dyDescent="0.3">
      <c r="A8" t="s">
        <v>6</v>
      </c>
      <c r="B8" t="s">
        <v>13</v>
      </c>
    </row>
    <row r="9" spans="1:2" x14ac:dyDescent="0.3">
      <c r="B9" t="s">
        <v>14</v>
      </c>
    </row>
    <row r="10" spans="1:2" x14ac:dyDescent="0.3">
      <c r="B10" t="s">
        <v>15</v>
      </c>
    </row>
    <row r="11" spans="1:2" x14ac:dyDescent="0.3">
      <c r="B11" t="s">
        <v>16</v>
      </c>
    </row>
    <row r="12" spans="1:2" x14ac:dyDescent="0.3">
      <c r="B12" t="s">
        <v>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Dashboard</vt:lpstr>
      <vt:lpstr>Einnahmen</vt:lpstr>
      <vt:lpstr>Ausgaben</vt:lpstr>
      <vt:lpstr>Monatsübersicht</vt:lpstr>
      <vt:lpstr>Jahresübersicht</vt:lpstr>
      <vt:lpstr>Kategorien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 Semmo</dc:creator>
  <cp:lastModifiedBy>Fadi Semmo</cp:lastModifiedBy>
  <dcterms:created xsi:type="dcterms:W3CDTF">2025-05-24T07:29:50Z</dcterms:created>
  <dcterms:modified xsi:type="dcterms:W3CDTF">2025-05-25T09:02:54Z</dcterms:modified>
</cp:coreProperties>
</file>